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-Projets en cours RENO\21R175_Etude CEE - DGEC\4. Livrables\Envoi du 31 août 2021\Tableurs\"/>
    </mc:Choice>
  </mc:AlternateContent>
  <xr:revisionPtr revIDLastSave="0" documentId="13_ncr:1_{5F8D155A-4FD6-4764-B9FA-487527710410}" xr6:coauthVersionLast="47" xr6:coauthVersionMax="47" xr10:uidLastSave="{00000000-0000-0000-0000-000000000000}"/>
  <bookViews>
    <workbookView xWindow="2490" yWindow="3975" windowWidth="21600" windowHeight="11385" activeTab="2" xr2:uid="{7464B8C6-F9F3-4C2E-A897-D929D65E2918}"/>
  </bookViews>
  <sheets>
    <sheet name="Uinitial" sheetId="1" r:id="rId1"/>
    <sheet name="Ufinal" sheetId="3" r:id="rId2"/>
    <sheet name="Montant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H16" i="2"/>
  <c r="H15" i="2"/>
  <c r="C7" i="2"/>
  <c r="C9" i="2" s="1"/>
  <c r="B93" i="1"/>
  <c r="B92" i="1"/>
  <c r="B81" i="1"/>
  <c r="B83" i="1"/>
  <c r="E30" i="1"/>
  <c r="E31" i="1"/>
  <c r="E16" i="1"/>
  <c r="E17" i="1"/>
  <c r="E18" i="1"/>
  <c r="E32" i="1"/>
  <c r="E19" i="1"/>
  <c r="E20" i="1"/>
  <c r="E21" i="1"/>
  <c r="E33" i="1"/>
  <c r="E22" i="1"/>
  <c r="E23" i="1"/>
  <c r="E34" i="1"/>
  <c r="E24" i="1"/>
  <c r="E41" i="1"/>
  <c r="D41" i="1"/>
  <c r="C41" i="1"/>
  <c r="B41" i="1"/>
  <c r="B80" i="1"/>
  <c r="B82" i="1"/>
  <c r="F2" i="1"/>
  <c r="C2" i="3"/>
  <c r="C8" i="2"/>
  <c r="F17" i="1"/>
  <c r="F18" i="1"/>
  <c r="F19" i="1"/>
  <c r="F20" i="1"/>
  <c r="F21" i="1"/>
  <c r="F22" i="1"/>
  <c r="F23" i="1"/>
  <c r="F24" i="1"/>
  <c r="E35" i="1"/>
  <c r="E36" i="1"/>
  <c r="E25" i="1"/>
  <c r="F25" i="1"/>
  <c r="F16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B42" i="1"/>
  <c r="B91" i="1"/>
  <c r="C42" i="1"/>
  <c r="D42" i="1"/>
  <c r="E42" i="1"/>
  <c r="F5" i="2" l="1"/>
  <c r="F6" i="2" s="1"/>
  <c r="G5" i="2"/>
  <c r="G6" i="2" s="1"/>
  <c r="H11" i="2" l="1"/>
  <c r="H10" i="2"/>
  <c r="H12" i="2"/>
  <c r="G10" i="2"/>
  <c r="G15" i="2" s="1"/>
  <c r="G11" i="2"/>
  <c r="G12" i="2"/>
  <c r="G17" i="2" s="1"/>
  <c r="G16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AA5CBDD-0433-4FE5-8E5D-CAB9A87DEFCE}" keepAlive="1" name="Requête - Toiture terrasse 1" description="Connexion à la requête « Toiture terrasse 1 » dans le classeur." type="5" refreshedVersion="0" background="1">
    <dbPr connection="Provider=Microsoft.Mashup.OleDb.1;Data Source=$Workbook$;Location=&quot;Toiture terrasse 1&quot;;Extended Properties=&quot;&quot;" command="SELECT * FROM [Toiture terrasse 1]"/>
  </connection>
  <connection id="2" xr16:uid="{E3F4BC83-A423-44E7-ADD6-DC8791F2101A}" keepAlive="1" name="Requête - Toiture terrasse 2" description="Connexion à la requête « Toiture terrasse 2 » dans le classeur." type="5" refreshedVersion="0" background="1">
    <dbPr connection="Provider=Microsoft.Mashup.OleDb.1;Data Source=$Workbook$;Location=&quot;Toiture terrasse 2&quot;;Extended Properties=&quot;&quot;" command="SELECT * FROM [Toiture terrasse 2]"/>
  </connection>
</connections>
</file>

<file path=xl/sharedStrings.xml><?xml version="1.0" encoding="utf-8"?>
<sst xmlns="http://schemas.openxmlformats.org/spreadsheetml/2006/main" count="152" uniqueCount="116">
  <si>
    <t>LC1-petit collectif non mitoyen</t>
  </si>
  <si>
    <t>&lt;1915</t>
  </si>
  <si>
    <t>LC2-petit collectif non mitoyen</t>
  </si>
  <si>
    <t>LC3-collectif moyen mitoyen</t>
  </si>
  <si>
    <t>LC4-grand collectif mitoyen</t>
  </si>
  <si>
    <t>LC5-petit collectif non mitoyen</t>
  </si>
  <si>
    <t>1915-1945</t>
  </si>
  <si>
    <t>LC6-petit collectif mitoyen</t>
  </si>
  <si>
    <t>LC7-mitoyen collectif</t>
  </si>
  <si>
    <t>LC8-grand collectif</t>
  </si>
  <si>
    <t>LC9-petit collectif</t>
  </si>
  <si>
    <t>1945-1968</t>
  </si>
  <si>
    <t>Pas de toiture terrasse</t>
  </si>
  <si>
    <t>LC10-moyen collectif</t>
  </si>
  <si>
    <t>1946-1968</t>
  </si>
  <si>
    <t>LC11-grand collectif</t>
  </si>
  <si>
    <t>LC12-petit collectif</t>
  </si>
  <si>
    <t>1969-1974</t>
  </si>
  <si>
    <t>LC13-Moyen collectif</t>
  </si>
  <si>
    <t>LC14-grand collectif</t>
  </si>
  <si>
    <t>LC15-petit collectif</t>
  </si>
  <si>
    <t>1975-1981</t>
  </si>
  <si>
    <t>LC16-moyen collectif</t>
  </si>
  <si>
    <t>LC17-grand collectif</t>
  </si>
  <si>
    <t>LC18-petit collectif</t>
  </si>
  <si>
    <t>1982-1989</t>
  </si>
  <si>
    <t>LC19-moyen collectif</t>
  </si>
  <si>
    <t>LC20-grand collectif</t>
  </si>
  <si>
    <t>LC21-petit collectif</t>
  </si>
  <si>
    <t>1990-2000</t>
  </si>
  <si>
    <t>LC22-moyen grand collectif</t>
  </si>
  <si>
    <t>LC23-collectif</t>
  </si>
  <si>
    <t>2001-2005</t>
  </si>
  <si>
    <t>LC24-collectif</t>
  </si>
  <si>
    <t>&gt;2005</t>
  </si>
  <si>
    <t>typologie nationale de logement collectif</t>
  </si>
  <si>
    <t>répartition en nombre de logements (%)</t>
  </si>
  <si>
    <t>période constructive</t>
  </si>
  <si>
    <t>Uexistant en  W/(m².K)</t>
  </si>
  <si>
    <t>U_init en fonction de la période de construction et de la ZC (DPE) en W/m².K</t>
  </si>
  <si>
    <t xml:space="preserve">H1 </t>
  </si>
  <si>
    <t>H2</t>
  </si>
  <si>
    <t>H3</t>
  </si>
  <si>
    <t>moyenne pondérée par zone climatique</t>
  </si>
  <si>
    <t>répartition par zone climatique (données CEREN)</t>
  </si>
  <si>
    <t>&lt;74</t>
  </si>
  <si>
    <t>75-77</t>
  </si>
  <si>
    <t>78-82</t>
  </si>
  <si>
    <t>83-88</t>
  </si>
  <si>
    <t>89-00</t>
  </si>
  <si>
    <t>01--05</t>
  </si>
  <si>
    <t>06--12</t>
  </si>
  <si>
    <t>&gt;13</t>
  </si>
  <si>
    <t>Part du parc à prendre en compte</t>
  </si>
  <si>
    <t>Seulement av. 1975</t>
  </si>
  <si>
    <t>Seulement av. 1990</t>
  </si>
  <si>
    <t>Seulement av. 2000</t>
  </si>
  <si>
    <t>Seulement av. 2005</t>
  </si>
  <si>
    <t>Sans considérer d'isolation progressive</t>
  </si>
  <si>
    <t>En considérant une isolation progressive</t>
  </si>
  <si>
    <t>Uexistant  en considérant 50 % du parc av. 1975 déjà partiellement isolé en W/(m².K)</t>
  </si>
  <si>
    <t>R</t>
  </si>
  <si>
    <t>m².K/W</t>
  </si>
  <si>
    <t>Méthode de calcul</t>
  </si>
  <si>
    <t>Up final déterminé selon hyp de l'onglet Ufinal</t>
  </si>
  <si>
    <r>
      <t>D</t>
    </r>
    <r>
      <rPr>
        <sz val="11"/>
        <color theme="1"/>
        <rFont val="Times New Roman"/>
        <family val="1"/>
      </rPr>
      <t>Up = Up final – Upinit</t>
    </r>
  </si>
  <si>
    <t>Gains</t>
  </si>
  <si>
    <r>
      <t xml:space="preserve">Gain =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Times New Roman"/>
        <family val="1"/>
      </rPr>
      <t xml:space="preserve">Up x DJUmoyen x 24h x 0,7 / </t>
    </r>
    <r>
      <rPr>
        <sz val="11"/>
        <color theme="1"/>
        <rFont val="Symbol"/>
        <family val="1"/>
        <charset val="2"/>
      </rPr>
      <t>h</t>
    </r>
  </si>
  <si>
    <t>Electrique</t>
  </si>
  <si>
    <t>Combustible</t>
  </si>
  <si>
    <t>Wh/m2</t>
  </si>
  <si>
    <t>Données</t>
  </si>
  <si>
    <t>kWh/m2</t>
  </si>
  <si>
    <t>Up initial</t>
  </si>
  <si>
    <t>W/m2.K</t>
  </si>
  <si>
    <t>Up final</t>
  </si>
  <si>
    <t>Montant CEE</t>
  </si>
  <si>
    <t>Delta Up</t>
  </si>
  <si>
    <t>H1</t>
  </si>
  <si>
    <t>DJU moyen</t>
  </si>
  <si>
    <t>K</t>
  </si>
  <si>
    <t>Rendement elec</t>
  </si>
  <si>
    <t>Rendement comb</t>
  </si>
  <si>
    <t>Fusion des énergies de chauffage</t>
  </si>
  <si>
    <t>Durée de vie</t>
  </si>
  <si>
    <t>ans</t>
  </si>
  <si>
    <t>Durée de vie actualisée</t>
  </si>
  <si>
    <r>
      <t>Δ</t>
    </r>
    <r>
      <rPr>
        <sz val="7.7"/>
        <color theme="1"/>
        <rFont val="Calibri"/>
        <family val="2"/>
      </rPr>
      <t>U</t>
    </r>
    <r>
      <rPr>
        <sz val="11"/>
        <color theme="1"/>
        <rFont val="Calibri"/>
        <family val="2"/>
      </rPr>
      <t xml:space="preserve"> (W/m².K) </t>
    </r>
    <r>
      <rPr>
        <i/>
        <sz val="11"/>
        <color theme="1"/>
        <rFont val="Calibri"/>
        <family val="2"/>
      </rPr>
      <t>(RT: valeurs et coefficients pour l'application des règles Th-Bat)</t>
    </r>
  </si>
  <si>
    <t>U_final (W/m².K)</t>
  </si>
  <si>
    <t>Valeur théorique</t>
  </si>
  <si>
    <t>Résistance thermique mise en œuvre pour les toitures terrasses : 4,5 m².K/W</t>
  </si>
  <si>
    <t>Données issues de l'observatoire DPE - années 2019 - 2020</t>
  </si>
  <si>
    <t>Moyenne de Uph</t>
  </si>
  <si>
    <t>2019</t>
  </si>
  <si>
    <t>2020</t>
  </si>
  <si>
    <t>1. 1948 - 1974</t>
  </si>
  <si>
    <t>2. 1975 - 1989</t>
  </si>
  <si>
    <t>3. 1990 - 1999</t>
  </si>
  <si>
    <t>Nombre de valeur</t>
  </si>
  <si>
    <t>Valeur</t>
  </si>
  <si>
    <t>Nombre</t>
  </si>
  <si>
    <t>Méthode</t>
  </si>
  <si>
    <t>Uph</t>
  </si>
  <si>
    <t>Moyenne av. 1975</t>
  </si>
  <si>
    <t>Moyenne av. 2000</t>
  </si>
  <si>
    <t>Moyenne si non ou faiblement isolé toute période (&gt; 0,5W/m².K)</t>
  </si>
  <si>
    <t>4- Synthèse</t>
  </si>
  <si>
    <t>Méthode d'évaluation</t>
  </si>
  <si>
    <t>U existant en W/m².K</t>
  </si>
  <si>
    <t>PROFEEL</t>
  </si>
  <si>
    <t>Valeur retenue</t>
  </si>
  <si>
    <t>5- Observatoire DPE</t>
  </si>
  <si>
    <t>Sélection des logements collectifs - &gt;1948</t>
  </si>
  <si>
    <t>Valeur analysée : min(Uph; Uph0)</t>
  </si>
  <si>
    <t>Moyenne av. 1990</t>
  </si>
  <si>
    <t>Observatoire DPE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</si>
</sst>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0.000"/>
    <numFmt numFmtId="166" formatCode="_-* #,##0.00\ _€_-;\-* #,##0.00\ _€_-;_-* &quot;-&quot;??\ _€_-;_-@_-"/>
    <numFmt numFmtId="167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 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7.7"/>
      <color theme="1"/>
      <name val="Calibri"/>
      <family val="2"/>
    </font>
    <font>
      <i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1" xfId="0" applyFill="1" applyBorder="1"/>
    <xf numFmtId="2" fontId="0" fillId="3" borderId="1" xfId="0" applyNumberFormat="1" applyFill="1" applyBorder="1"/>
    <xf numFmtId="16" fontId="0" fillId="3" borderId="1" xfId="0" applyNumberFormat="1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2" fontId="0" fillId="0" borderId="1" xfId="0" applyNumberFormat="1" applyBorder="1"/>
    <xf numFmtId="0" fontId="0" fillId="4" borderId="1" xfId="0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4" xfId="0" applyBorder="1"/>
    <xf numFmtId="0" fontId="4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5" fillId="0" borderId="0" xfId="0" applyFont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4" fillId="0" borderId="3" xfId="0" applyFont="1" applyBorder="1" applyAlignment="1">
      <alignment horizontal="center" vertical="center"/>
    </xf>
    <xf numFmtId="0" fontId="0" fillId="0" borderId="10" xfId="0" applyBorder="1"/>
    <xf numFmtId="0" fontId="0" fillId="0" borderId="5" xfId="0" applyBorder="1"/>
    <xf numFmtId="0" fontId="4" fillId="0" borderId="0" xfId="0" applyFont="1" applyAlignment="1">
      <alignment horizontal="center" vertical="center"/>
    </xf>
    <xf numFmtId="164" fontId="0" fillId="0" borderId="7" xfId="0" applyNumberFormat="1" applyBorder="1"/>
    <xf numFmtId="164" fontId="0" fillId="0" borderId="0" xfId="0" applyNumberFormat="1"/>
    <xf numFmtId="164" fontId="0" fillId="0" borderId="9" xfId="0" applyNumberFormat="1" applyBorder="1"/>
    <xf numFmtId="164" fontId="0" fillId="0" borderId="3" xfId="0" applyNumberFormat="1" applyBorder="1"/>
    <xf numFmtId="43" fontId="0" fillId="0" borderId="5" xfId="0" applyNumberFormat="1" applyBorder="1"/>
    <xf numFmtId="165" fontId="0" fillId="0" borderId="0" xfId="0" applyNumberFormat="1"/>
    <xf numFmtId="164" fontId="0" fillId="0" borderId="5" xfId="0" applyNumberFormat="1" applyBorder="1"/>
    <xf numFmtId="164" fontId="0" fillId="0" borderId="6" xfId="0" applyNumberFormat="1" applyBorder="1"/>
    <xf numFmtId="0" fontId="3" fillId="0" borderId="0" xfId="0" applyFont="1"/>
    <xf numFmtId="164" fontId="0" fillId="0" borderId="8" xfId="0" applyNumberFormat="1" applyBorder="1"/>
    <xf numFmtId="164" fontId="0" fillId="0" borderId="10" xfId="0" applyNumberFormat="1" applyBorder="1"/>
    <xf numFmtId="9" fontId="0" fillId="0" borderId="0" xfId="0" applyNumberFormat="1"/>
    <xf numFmtId="0" fontId="0" fillId="0" borderId="3" xfId="0" applyBorder="1"/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0" fillId="0" borderId="1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 wrapText="1"/>
    </xf>
    <xf numFmtId="2" fontId="0" fillId="0" borderId="0" xfId="0" applyNumberFormat="1"/>
    <xf numFmtId="167" fontId="0" fillId="0" borderId="0" xfId="1" applyNumberFormat="1" applyFont="1" applyFill="1" applyBorder="1"/>
    <xf numFmtId="167" fontId="0" fillId="0" borderId="0" xfId="1" applyNumberFormat="1" applyFont="1"/>
    <xf numFmtId="43" fontId="0" fillId="0" borderId="1" xfId="1" applyFont="1" applyBorder="1"/>
    <xf numFmtId="0" fontId="11" fillId="0" borderId="0" xfId="0" applyFont="1"/>
    <xf numFmtId="43" fontId="10" fillId="0" borderId="1" xfId="1" applyFont="1" applyBorder="1" applyAlignment="1">
      <alignment horizontal="center" vertical="center" wrapText="1"/>
    </xf>
    <xf numFmtId="43" fontId="0" fillId="0" borderId="1" xfId="1" applyFont="1" applyBorder="1" applyAlignment="1">
      <alignment wrapText="1"/>
    </xf>
    <xf numFmtId="1" fontId="0" fillId="0" borderId="5" xfId="0" applyNumberFormat="1" applyBorder="1"/>
    <xf numFmtId="1" fontId="0" fillId="0" borderId="6" xfId="0" applyNumberFormat="1" applyBorder="1"/>
    <xf numFmtId="1" fontId="0" fillId="0" borderId="0" xfId="0" applyNumberFormat="1"/>
    <xf numFmtId="1" fontId="0" fillId="0" borderId="8" xfId="0" applyNumberFormat="1" applyBorder="1"/>
    <xf numFmtId="1" fontId="0" fillId="0" borderId="3" xfId="0" applyNumberFormat="1" applyBorder="1"/>
    <xf numFmtId="1" fontId="0" fillId="0" borderId="10" xfId="0" applyNumberFormat="1" applyBorder="1"/>
    <xf numFmtId="0" fontId="0" fillId="4" borderId="1" xfId="0" applyFill="1" applyBorder="1" applyAlignment="1">
      <alignment horizontal="center" wrapText="1"/>
    </xf>
    <xf numFmtId="0" fontId="0" fillId="6" borderId="3" xfId="0" applyFill="1" applyBorder="1" applyAlignment="1">
      <alignment horizontal="center"/>
    </xf>
    <xf numFmtId="0" fontId="0" fillId="6" borderId="0" xfId="0" applyFill="1" applyAlignment="1">
      <alignment horizontal="center"/>
    </xf>
  </cellXfs>
  <cellStyles count="2">
    <cellStyle name="Milliers" xfId="1" builtinId="3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7" formatCode="_-* #,##0_-;\-* #,##0_-;_-* &quot;-&quot;??_-;_-@_-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-* #,##0_-;\-* #,##0_-;_-* &quot;-&quot;??_-;_-@_-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53EDCB-091C-4225-9425-CF74A02553DF}" name="Tableau5" displayName="Tableau5" ref="A49:C52" totalsRowShown="0">
  <autoFilter ref="A49:C52" xr:uid="{F153EDCB-091C-4225-9425-CF74A02553DF}"/>
  <tableColumns count="3">
    <tableColumn id="1" xr3:uid="{B0464A7B-7447-452D-8458-D599AEF6FB27}" name="Moyenne de Uph" dataDxfId="10"/>
    <tableColumn id="2" xr3:uid="{6B8389A4-8959-4D59-9BDE-7D4EA3B30393}" name="2019" dataDxfId="9"/>
    <tableColumn id="3" xr3:uid="{FE0E1BA0-18D3-4BAF-AA98-A9B5AFD3C7AB}" name="202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9E2CBA0-0E1B-4551-874D-34C53DC5C097}" name="Tableau6" displayName="Tableau6" ref="A54:C57" totalsRowShown="0" headerRowDxfId="8" dataDxfId="7">
  <autoFilter ref="A54:C57" xr:uid="{B9E2CBA0-0E1B-4551-874D-34C53DC5C097}"/>
  <tableColumns count="3">
    <tableColumn id="1" xr3:uid="{C15E91E0-D10B-44B8-B7AD-A08DCC10DF2E}" name="Nombre de valeur" dataDxfId="6"/>
    <tableColumn id="2" xr3:uid="{CCC368CD-79C1-444B-94B0-40D105600DD9}" name="2019" dataDxfId="5" dataCellStyle="Milliers"/>
    <tableColumn id="3" xr3:uid="{FD62F477-DA54-4C33-A9BD-EC4FEE18109E}" name="2020" dataDxfId="4" dataCellStyle="Milliers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AEF2157-1438-4B1F-9016-085BA1FE2BBD}" name="Tableau7" displayName="Tableau7" ref="A59:B77" totalsRowShown="0" headerRowDxfId="3" dataDxfId="2">
  <autoFilter ref="A59:B77" xr:uid="{5AEF2157-1438-4B1F-9016-085BA1FE2BBD}"/>
  <tableColumns count="2">
    <tableColumn id="1" xr3:uid="{3D8ABCC2-C51E-4E0F-8B85-0FA303FFBB6B}" name="Valeur" dataDxfId="1"/>
    <tableColumn id="2" xr3:uid="{E03648AE-FC0E-4248-8664-7A8AC06EA583}" name="Nombr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2554B-6099-4E26-AD6E-77AB48EA1925}">
  <dimension ref="A1:J93"/>
  <sheetViews>
    <sheetView topLeftCell="A61" zoomScale="80" zoomScaleNormal="80" workbookViewId="0">
      <selection activeCell="B94" sqref="B94"/>
    </sheetView>
  </sheetViews>
  <sheetFormatPr baseColWidth="10" defaultRowHeight="15"/>
  <cols>
    <col min="1" max="2" width="20.42578125" customWidth="1"/>
    <col min="3" max="3" width="16.42578125" customWidth="1"/>
    <col min="4" max="4" width="22" customWidth="1"/>
    <col min="5" max="5" width="18.7109375" customWidth="1"/>
    <col min="6" max="6" width="17.7109375" customWidth="1"/>
    <col min="8" max="8" width="6" customWidth="1"/>
    <col min="9" max="9" width="6.28515625" customWidth="1"/>
    <col min="10" max="10" width="8.7109375" customWidth="1"/>
  </cols>
  <sheetData>
    <row r="1" spans="1:10" ht="135" customHeight="1">
      <c r="A1" s="1" t="s">
        <v>35</v>
      </c>
      <c r="B1" s="1" t="s">
        <v>37</v>
      </c>
      <c r="C1" s="1" t="s">
        <v>36</v>
      </c>
      <c r="D1" s="17"/>
      <c r="E1" s="18" t="s">
        <v>38</v>
      </c>
      <c r="F1" s="14" t="s">
        <v>60</v>
      </c>
    </row>
    <row r="2" spans="1:10" ht="38.25" customHeight="1">
      <c r="A2" s="6" t="s">
        <v>0</v>
      </c>
      <c r="B2" s="7" t="s">
        <v>1</v>
      </c>
      <c r="C2" s="15">
        <v>1.7</v>
      </c>
      <c r="D2" s="7" t="s">
        <v>12</v>
      </c>
      <c r="E2" s="7">
        <v>2.5</v>
      </c>
      <c r="F2" s="8">
        <f>E2*0.5+0.5*1</f>
        <v>1.75</v>
      </c>
      <c r="H2" s="19" t="s">
        <v>61</v>
      </c>
      <c r="I2" s="19">
        <v>2.5</v>
      </c>
      <c r="J2" s="20" t="s">
        <v>62</v>
      </c>
    </row>
    <row r="3" spans="1:10">
      <c r="A3" s="8" t="s">
        <v>2</v>
      </c>
      <c r="B3" s="8" t="s">
        <v>1</v>
      </c>
      <c r="C3" s="16">
        <v>11.9</v>
      </c>
      <c r="D3" s="7" t="s">
        <v>12</v>
      </c>
      <c r="E3" s="8">
        <v>2.5</v>
      </c>
      <c r="F3" s="8">
        <f t="shared" ref="F3:F15" si="0">E3*0.5+0.5*1</f>
        <v>1.75</v>
      </c>
    </row>
    <row r="4" spans="1:10">
      <c r="A4" s="8" t="s">
        <v>3</v>
      </c>
      <c r="B4" s="8" t="s">
        <v>1</v>
      </c>
      <c r="C4" s="16">
        <v>5.5</v>
      </c>
      <c r="D4" s="7" t="s">
        <v>12</v>
      </c>
      <c r="E4" s="8">
        <v>2.5</v>
      </c>
      <c r="F4" s="8">
        <f t="shared" si="0"/>
        <v>1.75</v>
      </c>
    </row>
    <row r="5" spans="1:10">
      <c r="A5" s="8" t="s">
        <v>4</v>
      </c>
      <c r="B5" s="8" t="s">
        <v>1</v>
      </c>
      <c r="C5" s="16">
        <v>3.7</v>
      </c>
      <c r="D5" s="7" t="s">
        <v>12</v>
      </c>
      <c r="E5" s="8">
        <v>2.5</v>
      </c>
      <c r="F5" s="8">
        <f t="shared" si="0"/>
        <v>1.75</v>
      </c>
    </row>
    <row r="6" spans="1:10">
      <c r="A6" s="8" t="s">
        <v>5</v>
      </c>
      <c r="B6" s="8" t="s">
        <v>6</v>
      </c>
      <c r="C6" s="16">
        <v>0.84</v>
      </c>
      <c r="D6" s="8"/>
      <c r="E6" s="8">
        <v>2.5</v>
      </c>
      <c r="F6" s="8">
        <f t="shared" si="0"/>
        <v>1.75</v>
      </c>
    </row>
    <row r="7" spans="1:10">
      <c r="A7" s="8" t="s">
        <v>7</v>
      </c>
      <c r="B7" s="8" t="s">
        <v>6</v>
      </c>
      <c r="C7" s="16">
        <v>2.2000000000000002</v>
      </c>
      <c r="D7" s="8"/>
      <c r="E7" s="8">
        <v>2.5</v>
      </c>
      <c r="F7" s="8">
        <f t="shared" si="0"/>
        <v>1.75</v>
      </c>
    </row>
    <row r="8" spans="1:10">
      <c r="A8" s="8" t="s">
        <v>8</v>
      </c>
      <c r="B8" s="8" t="s">
        <v>6</v>
      </c>
      <c r="C8" s="16">
        <v>1.3</v>
      </c>
      <c r="D8" s="8"/>
      <c r="E8" s="8">
        <v>2.5</v>
      </c>
      <c r="F8" s="8">
        <f t="shared" si="0"/>
        <v>1.75</v>
      </c>
    </row>
    <row r="9" spans="1:10">
      <c r="A9" s="8" t="s">
        <v>9</v>
      </c>
      <c r="B9" s="8" t="s">
        <v>6</v>
      </c>
      <c r="C9" s="16">
        <v>2.1</v>
      </c>
      <c r="D9" s="8"/>
      <c r="E9" s="8">
        <v>2.5</v>
      </c>
      <c r="F9" s="8">
        <f t="shared" si="0"/>
        <v>1.75</v>
      </c>
    </row>
    <row r="10" spans="1:10">
      <c r="A10" s="8" t="s">
        <v>10</v>
      </c>
      <c r="B10" s="8" t="s">
        <v>11</v>
      </c>
      <c r="C10" s="16">
        <v>4</v>
      </c>
      <c r="D10" s="8"/>
      <c r="E10" s="8">
        <v>2.5</v>
      </c>
      <c r="F10" s="8">
        <f t="shared" si="0"/>
        <v>1.75</v>
      </c>
    </row>
    <row r="11" spans="1:10">
      <c r="A11" s="8" t="s">
        <v>13</v>
      </c>
      <c r="B11" s="8" t="s">
        <v>14</v>
      </c>
      <c r="C11" s="16">
        <v>9.3000000000000007</v>
      </c>
      <c r="D11" s="8"/>
      <c r="E11" s="8">
        <v>2.5</v>
      </c>
      <c r="F11" s="8">
        <f t="shared" si="0"/>
        <v>1.75</v>
      </c>
    </row>
    <row r="12" spans="1:10">
      <c r="A12" s="8" t="s">
        <v>15</v>
      </c>
      <c r="B12" s="8" t="s">
        <v>11</v>
      </c>
      <c r="C12" s="16">
        <v>4</v>
      </c>
      <c r="D12" s="8"/>
      <c r="E12" s="8">
        <v>2.5</v>
      </c>
      <c r="F12" s="8">
        <f t="shared" si="0"/>
        <v>1.75</v>
      </c>
    </row>
    <row r="13" spans="1:10">
      <c r="A13" s="8" t="s">
        <v>16</v>
      </c>
      <c r="B13" s="8" t="s">
        <v>17</v>
      </c>
      <c r="C13" s="16">
        <v>1.3</v>
      </c>
      <c r="D13" s="8"/>
      <c r="E13" s="8">
        <v>2.5</v>
      </c>
      <c r="F13" s="8">
        <f t="shared" si="0"/>
        <v>1.75</v>
      </c>
    </row>
    <row r="14" spans="1:10">
      <c r="A14" s="8" t="s">
        <v>18</v>
      </c>
      <c r="B14" s="8" t="s">
        <v>17</v>
      </c>
      <c r="C14" s="16">
        <v>5.2</v>
      </c>
      <c r="D14" s="8"/>
      <c r="E14" s="8">
        <v>2.5</v>
      </c>
      <c r="F14" s="8">
        <f t="shared" si="0"/>
        <v>1.75</v>
      </c>
    </row>
    <row r="15" spans="1:10">
      <c r="A15" s="8" t="s">
        <v>19</v>
      </c>
      <c r="B15" s="8" t="s">
        <v>17</v>
      </c>
      <c r="C15" s="16">
        <v>3.5</v>
      </c>
      <c r="D15" s="8"/>
      <c r="E15" s="8">
        <v>2.5</v>
      </c>
      <c r="F15" s="8">
        <f t="shared" si="0"/>
        <v>1.75</v>
      </c>
    </row>
    <row r="16" spans="1:10">
      <c r="A16" s="8" t="s">
        <v>20</v>
      </c>
      <c r="B16" s="8" t="s">
        <v>21</v>
      </c>
      <c r="C16" s="16">
        <v>1.1000000000000001</v>
      </c>
      <c r="D16" s="8"/>
      <c r="E16" s="9">
        <f>AVERAGE(E30:E31)</f>
        <v>0.48829999999999996</v>
      </c>
      <c r="F16" s="9">
        <f>E16</f>
        <v>0.48829999999999996</v>
      </c>
    </row>
    <row r="17" spans="1:6">
      <c r="A17" s="8" t="s">
        <v>22</v>
      </c>
      <c r="B17" s="8" t="s">
        <v>21</v>
      </c>
      <c r="C17" s="16">
        <v>4</v>
      </c>
      <c r="D17" s="8"/>
      <c r="E17" s="9">
        <f>AVERAGE($E$30:$E$31)</f>
        <v>0.48829999999999996</v>
      </c>
      <c r="F17" s="9">
        <f t="shared" ref="F17:F25" si="1">E17</f>
        <v>0.48829999999999996</v>
      </c>
    </row>
    <row r="18" spans="1:6">
      <c r="A18" s="8" t="s">
        <v>23</v>
      </c>
      <c r="B18" s="8" t="s">
        <v>21</v>
      </c>
      <c r="C18" s="16">
        <v>2.2999999999999998</v>
      </c>
      <c r="D18" s="8"/>
      <c r="E18" s="9">
        <f>AVERAGE($E$30:$E$31)</f>
        <v>0.48829999999999996</v>
      </c>
      <c r="F18" s="9">
        <f t="shared" si="1"/>
        <v>0.48829999999999996</v>
      </c>
    </row>
    <row r="19" spans="1:6">
      <c r="A19" s="8" t="s">
        <v>24</v>
      </c>
      <c r="B19" s="8" t="s">
        <v>25</v>
      </c>
      <c r="C19" s="16">
        <v>1.3</v>
      </c>
      <c r="D19" s="8"/>
      <c r="E19" s="9">
        <f>$E$32</f>
        <v>0.30909999999999999</v>
      </c>
      <c r="F19" s="9">
        <f t="shared" si="1"/>
        <v>0.30909999999999999</v>
      </c>
    </row>
    <row r="20" spans="1:6">
      <c r="A20" s="8" t="s">
        <v>26</v>
      </c>
      <c r="B20" s="8" t="s">
        <v>25</v>
      </c>
      <c r="C20" s="16">
        <v>2.9</v>
      </c>
      <c r="D20" s="8"/>
      <c r="E20" s="9">
        <f t="shared" ref="E20:E21" si="2">$E$32</f>
        <v>0.30909999999999999</v>
      </c>
      <c r="F20" s="9">
        <f t="shared" si="1"/>
        <v>0.30909999999999999</v>
      </c>
    </row>
    <row r="21" spans="1:6">
      <c r="A21" s="8" t="s">
        <v>27</v>
      </c>
      <c r="B21" s="8" t="s">
        <v>25</v>
      </c>
      <c r="C21" s="16">
        <v>0.94</v>
      </c>
      <c r="D21" s="8"/>
      <c r="E21" s="9">
        <f t="shared" si="2"/>
        <v>0.30909999999999999</v>
      </c>
      <c r="F21" s="9">
        <f t="shared" si="1"/>
        <v>0.30909999999999999</v>
      </c>
    </row>
    <row r="22" spans="1:6">
      <c r="A22" s="8" t="s">
        <v>28</v>
      </c>
      <c r="B22" s="8" t="s">
        <v>29</v>
      </c>
      <c r="C22" s="16">
        <v>2.7</v>
      </c>
      <c r="D22" s="8"/>
      <c r="E22" s="9">
        <f>AVERAGE($E$33)</f>
        <v>0.25839999999999996</v>
      </c>
      <c r="F22" s="9">
        <f t="shared" si="1"/>
        <v>0.25839999999999996</v>
      </c>
    </row>
    <row r="23" spans="1:6">
      <c r="A23" s="8" t="s">
        <v>30</v>
      </c>
      <c r="B23" s="8" t="s">
        <v>29</v>
      </c>
      <c r="C23" s="16">
        <v>8.1999999999999993</v>
      </c>
      <c r="D23" s="8"/>
      <c r="E23" s="9">
        <f>AVERAGE($E$33)</f>
        <v>0.25839999999999996</v>
      </c>
      <c r="F23" s="9">
        <f t="shared" si="1"/>
        <v>0.25839999999999996</v>
      </c>
    </row>
    <row r="24" spans="1:6">
      <c r="A24" s="8" t="s">
        <v>31</v>
      </c>
      <c r="B24" s="8" t="s">
        <v>32</v>
      </c>
      <c r="C24" s="16">
        <v>4.5999999999999996</v>
      </c>
      <c r="D24" s="8"/>
      <c r="E24" s="9">
        <f>E34</f>
        <v>0.23769999999999999</v>
      </c>
      <c r="F24" s="9">
        <f t="shared" si="1"/>
        <v>0.23769999999999999</v>
      </c>
    </row>
    <row r="25" spans="1:6">
      <c r="A25" s="8" t="s">
        <v>33</v>
      </c>
      <c r="B25" s="8" t="s">
        <v>34</v>
      </c>
      <c r="C25" s="16">
        <v>15.6</v>
      </c>
      <c r="D25" s="8"/>
      <c r="E25" s="9">
        <f>AVERAGE(E35:E36)</f>
        <v>0.17275000000000001</v>
      </c>
      <c r="F25" s="9">
        <f t="shared" si="1"/>
        <v>0.17275000000000001</v>
      </c>
    </row>
    <row r="27" spans="1:6" ht="60">
      <c r="A27" s="2" t="s">
        <v>39</v>
      </c>
      <c r="B27" s="3" t="s">
        <v>40</v>
      </c>
      <c r="C27" s="3" t="s">
        <v>41</v>
      </c>
      <c r="D27" s="3" t="s">
        <v>42</v>
      </c>
      <c r="E27" s="2" t="s">
        <v>43</v>
      </c>
    </row>
    <row r="28" spans="1:6">
      <c r="A28" s="3" t="s">
        <v>44</v>
      </c>
      <c r="B28" s="3">
        <v>0.6</v>
      </c>
      <c r="C28" s="3">
        <v>0.28999999999999998</v>
      </c>
      <c r="D28" s="3">
        <v>0.11</v>
      </c>
      <c r="E28" s="3"/>
    </row>
    <row r="29" spans="1:6">
      <c r="A29" s="3" t="s">
        <v>45</v>
      </c>
      <c r="B29" s="3">
        <v>2.5</v>
      </c>
      <c r="C29" s="3">
        <v>2.5</v>
      </c>
      <c r="D29" s="3">
        <v>2.5</v>
      </c>
      <c r="E29" s="4">
        <v>2.5</v>
      </c>
    </row>
    <row r="30" spans="1:6">
      <c r="A30" s="3" t="s">
        <v>46</v>
      </c>
      <c r="B30" s="3">
        <v>0.5</v>
      </c>
      <c r="C30" s="3">
        <v>0.53</v>
      </c>
      <c r="D30" s="3">
        <v>0.56000000000000005</v>
      </c>
      <c r="E30" s="4">
        <f t="shared" ref="E30:E36" si="3">B30*$B$28+C30*$C$28+D30*$D$28</f>
        <v>0.51529999999999998</v>
      </c>
    </row>
    <row r="31" spans="1:6">
      <c r="A31" s="3" t="s">
        <v>47</v>
      </c>
      <c r="B31" s="3">
        <v>0.45</v>
      </c>
      <c r="C31" s="3">
        <v>0.47</v>
      </c>
      <c r="D31" s="3">
        <v>0.5</v>
      </c>
      <c r="E31" s="4">
        <f t="shared" si="3"/>
        <v>0.46129999999999999</v>
      </c>
    </row>
    <row r="32" spans="1:6">
      <c r="A32" s="3" t="s">
        <v>48</v>
      </c>
      <c r="B32" s="3">
        <v>0.3</v>
      </c>
      <c r="C32" s="3">
        <v>0.32</v>
      </c>
      <c r="D32" s="3">
        <v>0.33</v>
      </c>
      <c r="E32" s="4">
        <f t="shared" si="3"/>
        <v>0.30909999999999999</v>
      </c>
    </row>
    <row r="33" spans="1:5">
      <c r="A33" s="3" t="s">
        <v>49</v>
      </c>
      <c r="B33" s="3">
        <v>0.25</v>
      </c>
      <c r="C33" s="3">
        <v>0.26</v>
      </c>
      <c r="D33" s="3">
        <v>0.3</v>
      </c>
      <c r="E33" s="4">
        <f t="shared" si="3"/>
        <v>0.25839999999999996</v>
      </c>
    </row>
    <row r="34" spans="1:5">
      <c r="A34" s="5" t="s">
        <v>50</v>
      </c>
      <c r="B34" s="3">
        <v>0.23</v>
      </c>
      <c r="C34" s="3">
        <v>0.23</v>
      </c>
      <c r="D34" s="3">
        <v>0.3</v>
      </c>
      <c r="E34" s="4">
        <f t="shared" si="3"/>
        <v>0.23769999999999999</v>
      </c>
    </row>
    <row r="35" spans="1:5">
      <c r="A35" s="5" t="s">
        <v>51</v>
      </c>
      <c r="B35" s="3">
        <v>0.2</v>
      </c>
      <c r="C35" s="3">
        <v>0.2</v>
      </c>
      <c r="D35" s="3">
        <v>0.25</v>
      </c>
      <c r="E35" s="4">
        <f t="shared" si="3"/>
        <v>0.20549999999999999</v>
      </c>
    </row>
    <row r="36" spans="1:5">
      <c r="A36" s="3" t="s">
        <v>52</v>
      </c>
      <c r="B36" s="3">
        <v>0.14000000000000001</v>
      </c>
      <c r="C36" s="3">
        <v>0.14000000000000001</v>
      </c>
      <c r="D36" s="3">
        <v>0.14000000000000001</v>
      </c>
      <c r="E36" s="4">
        <f t="shared" si="3"/>
        <v>0.14000000000000001</v>
      </c>
    </row>
    <row r="39" spans="1:5">
      <c r="A39" s="10"/>
      <c r="B39" s="67" t="s">
        <v>53</v>
      </c>
      <c r="C39" s="67"/>
      <c r="D39" s="67"/>
      <c r="E39" s="67"/>
    </row>
    <row r="40" spans="1:5" ht="37.5">
      <c r="A40" s="10"/>
      <c r="B40" s="11" t="s">
        <v>54</v>
      </c>
      <c r="C40" s="11" t="s">
        <v>55</v>
      </c>
      <c r="D40" s="11" t="s">
        <v>56</v>
      </c>
      <c r="E40" s="11" t="s">
        <v>57</v>
      </c>
    </row>
    <row r="41" spans="1:5" ht="45">
      <c r="A41" s="10" t="s">
        <v>58</v>
      </c>
      <c r="B41" s="12">
        <f>SUMPRODUCT(E10:E15,C10:C15)/SUM(C10:C15)</f>
        <v>2.5</v>
      </c>
      <c r="C41" s="12">
        <f>SUMPRODUCT(E10:E21,C10:C21)/SUM(C10:C21)</f>
        <v>1.8436795682730927</v>
      </c>
      <c r="D41" s="13">
        <f>SUMPRODUCT(E10:E23,C10:C23)/SUM(C10:C23)</f>
        <v>1.5031287741426886</v>
      </c>
      <c r="E41" s="12">
        <f>SUMPRODUCT(E10:E24,C10:C24)/SUM(C10:C24)</f>
        <v>1.3979431514275391</v>
      </c>
    </row>
    <row r="42" spans="1:5" ht="30">
      <c r="A42" s="10" t="s">
        <v>59</v>
      </c>
      <c r="B42" s="12">
        <f>SUMPRODUCT(F10:F15,C10:C15)/SUM(C10:C15)</f>
        <v>1.7500000000000002</v>
      </c>
      <c r="C42" s="12">
        <f>SUMPRODUCT(F10:F21,C10:C21)/SUM(C10:C21)</f>
        <v>1.3297488453815263</v>
      </c>
      <c r="D42" s="13">
        <f>SUMPRODUCT(F10:F23,C10:C23)/SUM(C10:C23)</f>
        <v>1.0996009854158455</v>
      </c>
      <c r="E42" s="12">
        <f>SUMPRODUCT(F10:F24,C10:C24)/SUM(C10:C24)</f>
        <v>1.0279576075171666</v>
      </c>
    </row>
    <row r="44" spans="1:5" ht="15.75">
      <c r="A44" s="58" t="s">
        <v>111</v>
      </c>
    </row>
    <row r="45" spans="1:5">
      <c r="A45" t="s">
        <v>91</v>
      </c>
    </row>
    <row r="46" spans="1:5">
      <c r="A46" t="s">
        <v>112</v>
      </c>
    </row>
    <row r="47" spans="1:5">
      <c r="A47" t="s">
        <v>113</v>
      </c>
    </row>
    <row r="49" spans="1:3">
      <c r="A49" t="s">
        <v>92</v>
      </c>
      <c r="B49" t="s">
        <v>93</v>
      </c>
      <c r="C49" t="s">
        <v>94</v>
      </c>
    </row>
    <row r="50" spans="1:3">
      <c r="A50" t="s">
        <v>95</v>
      </c>
      <c r="B50">
        <v>1.1399999999999999</v>
      </c>
      <c r="C50">
        <v>0.98</v>
      </c>
    </row>
    <row r="51" spans="1:3">
      <c r="A51" t="s">
        <v>96</v>
      </c>
      <c r="B51">
        <v>0.78</v>
      </c>
      <c r="C51">
        <v>0.77</v>
      </c>
    </row>
    <row r="52" spans="1:3">
      <c r="A52" t="s">
        <v>97</v>
      </c>
      <c r="B52">
        <v>0.5</v>
      </c>
      <c r="C52">
        <v>0.37</v>
      </c>
    </row>
    <row r="54" spans="1:3">
      <c r="A54" t="s">
        <v>98</v>
      </c>
      <c r="B54" t="s">
        <v>93</v>
      </c>
      <c r="C54" t="s">
        <v>94</v>
      </c>
    </row>
    <row r="55" spans="1:3">
      <c r="A55" t="s">
        <v>95</v>
      </c>
      <c r="B55" s="55">
        <v>534902</v>
      </c>
      <c r="C55" s="56">
        <v>253622</v>
      </c>
    </row>
    <row r="56" spans="1:3">
      <c r="A56" t="s">
        <v>96</v>
      </c>
      <c r="B56" s="55">
        <v>642967</v>
      </c>
      <c r="C56" s="56">
        <v>161705</v>
      </c>
    </row>
    <row r="57" spans="1:3">
      <c r="A57" t="s">
        <v>97</v>
      </c>
      <c r="B57" s="55">
        <v>356541</v>
      </c>
      <c r="C57" s="56">
        <v>68735</v>
      </c>
    </row>
    <row r="59" spans="1:3">
      <c r="A59" t="s">
        <v>99</v>
      </c>
      <c r="B59" t="s">
        <v>100</v>
      </c>
    </row>
    <row r="60" spans="1:3">
      <c r="A60">
        <v>0.15</v>
      </c>
      <c r="B60">
        <v>341578</v>
      </c>
    </row>
    <row r="61" spans="1:3">
      <c r="A61">
        <v>0.2</v>
      </c>
      <c r="B61">
        <v>59519</v>
      </c>
    </row>
    <row r="62" spans="1:3">
      <c r="A62">
        <v>0.25</v>
      </c>
      <c r="B62">
        <v>244930</v>
      </c>
    </row>
    <row r="63" spans="1:3">
      <c r="A63">
        <v>0.3</v>
      </c>
      <c r="B63">
        <v>110483</v>
      </c>
    </row>
    <row r="64" spans="1:3">
      <c r="A64">
        <v>0.35</v>
      </c>
      <c r="B64">
        <v>170222</v>
      </c>
    </row>
    <row r="65" spans="1:2">
      <c r="A65">
        <v>0.4</v>
      </c>
      <c r="B65">
        <v>160779</v>
      </c>
    </row>
    <row r="66" spans="1:2">
      <c r="A66">
        <v>0.5</v>
      </c>
      <c r="B66">
        <v>26760</v>
      </c>
    </row>
    <row r="67" spans="1:2">
      <c r="A67">
        <v>0.55000000000000004</v>
      </c>
      <c r="B67">
        <v>849</v>
      </c>
    </row>
    <row r="68" spans="1:2">
      <c r="A68">
        <v>0.6</v>
      </c>
      <c r="B68">
        <v>9131</v>
      </c>
    </row>
    <row r="69" spans="1:2">
      <c r="A69">
        <v>0.7</v>
      </c>
      <c r="B69">
        <v>52261</v>
      </c>
    </row>
    <row r="70" spans="1:2">
      <c r="A70">
        <v>0.75</v>
      </c>
      <c r="B70">
        <v>63933</v>
      </c>
    </row>
    <row r="71" spans="1:2">
      <c r="A71">
        <v>0.8</v>
      </c>
      <c r="B71">
        <v>4235</v>
      </c>
    </row>
    <row r="72" spans="1:2">
      <c r="A72">
        <v>1</v>
      </c>
      <c r="B72">
        <v>118487</v>
      </c>
    </row>
    <row r="73" spans="1:2">
      <c r="A73">
        <v>1.2</v>
      </c>
      <c r="B73">
        <v>4302</v>
      </c>
    </row>
    <row r="74" spans="1:2">
      <c r="A74">
        <v>1.45</v>
      </c>
      <c r="B74">
        <v>5693</v>
      </c>
    </row>
    <row r="75" spans="1:2">
      <c r="A75">
        <v>2</v>
      </c>
      <c r="B75">
        <v>1496</v>
      </c>
    </row>
    <row r="76" spans="1:2">
      <c r="A76">
        <v>2.2999999999999998</v>
      </c>
      <c r="B76">
        <v>22878</v>
      </c>
    </row>
    <row r="77" spans="1:2">
      <c r="A77">
        <v>2.5</v>
      </c>
      <c r="B77">
        <v>378088</v>
      </c>
    </row>
    <row r="79" spans="1:2">
      <c r="A79" s="8" t="s">
        <v>101</v>
      </c>
      <c r="B79" s="8" t="s">
        <v>102</v>
      </c>
    </row>
    <row r="80" spans="1:2">
      <c r="A80" s="8" t="s">
        <v>103</v>
      </c>
      <c r="B80" s="57">
        <f>SUMPRODUCT(B50:C50,B55:C55)/SUM(B55:C55)</f>
        <v>1.0885373685518764</v>
      </c>
    </row>
    <row r="81" spans="1:2">
      <c r="A81" s="8" t="s">
        <v>114</v>
      </c>
      <c r="B81" s="57">
        <f>SUMPRODUCT(B50:C51,B55:C56)/SUM(B55:C56)</f>
        <v>0.93169010592544799</v>
      </c>
    </row>
    <row r="82" spans="1:2">
      <c r="A82" s="8" t="s">
        <v>104</v>
      </c>
      <c r="B82" s="57">
        <f>SUMPRODUCT(B50:C52,B55:C57)/SUM(B55:C57)</f>
        <v>0.83630954504199206</v>
      </c>
    </row>
    <row r="83" spans="1:2">
      <c r="A83" s="8" t="s">
        <v>105</v>
      </c>
      <c r="B83" s="57">
        <f>SUMPRODUCT(A67:A77,B67:B77)/SUM(B67:B77)</f>
        <v>1.8546852437351913</v>
      </c>
    </row>
    <row r="88" spans="1:2" ht="15.75">
      <c r="A88" s="58" t="s">
        <v>106</v>
      </c>
    </row>
    <row r="90" spans="1:2" ht="30">
      <c r="A90" s="59" t="s">
        <v>107</v>
      </c>
      <c r="B90" s="59" t="s">
        <v>108</v>
      </c>
    </row>
    <row r="91" spans="1:2">
      <c r="A91" s="60" t="s">
        <v>109</v>
      </c>
      <c r="B91" s="60">
        <f>B42</f>
        <v>1.7500000000000002</v>
      </c>
    </row>
    <row r="92" spans="1:2">
      <c r="A92" s="60" t="s">
        <v>115</v>
      </c>
      <c r="B92" s="60">
        <f>B80</f>
        <v>1.0885373685518764</v>
      </c>
    </row>
    <row r="93" spans="1:2">
      <c r="A93" s="60" t="s">
        <v>110</v>
      </c>
      <c r="B93" s="60">
        <f>B92</f>
        <v>1.0885373685518764</v>
      </c>
    </row>
  </sheetData>
  <mergeCells count="1">
    <mergeCell ref="B39:E39"/>
  </mergeCells>
  <pageMargins left="0.7" right="0.7" top="0.75" bottom="0.75" header="0.3" footer="0.3"/>
  <pageSetup paperSize="9" orientation="portrait" verticalDpi="0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2F9B6-C3DB-4870-8404-E03FC6F4DA58}">
  <dimension ref="A1:E10"/>
  <sheetViews>
    <sheetView workbookViewId="0">
      <selection activeCell="D2" sqref="D2"/>
    </sheetView>
  </sheetViews>
  <sheetFormatPr baseColWidth="10" defaultRowHeight="15"/>
  <cols>
    <col min="1" max="1" width="26.7109375" customWidth="1"/>
    <col min="2" max="2" width="31.5703125" customWidth="1"/>
    <col min="3" max="3" width="21.5703125" customWidth="1"/>
  </cols>
  <sheetData>
    <row r="1" spans="1:5" ht="81.75" customHeight="1">
      <c r="A1" s="45" t="s">
        <v>90</v>
      </c>
      <c r="B1" s="46" t="s">
        <v>87</v>
      </c>
      <c r="C1" s="17" t="s">
        <v>88</v>
      </c>
      <c r="D1" t="s">
        <v>61</v>
      </c>
    </row>
    <row r="2" spans="1:5">
      <c r="A2" s="7" t="s">
        <v>89</v>
      </c>
      <c r="B2" s="7">
        <v>0</v>
      </c>
      <c r="C2" s="47">
        <f>1/(1/Uinitial!D41+D2)</f>
        <v>0.16219866138003391</v>
      </c>
      <c r="D2">
        <v>5.5</v>
      </c>
      <c r="E2" t="s">
        <v>62</v>
      </c>
    </row>
    <row r="3" spans="1:5">
      <c r="A3" s="48"/>
      <c r="B3" s="48"/>
      <c r="C3" s="49"/>
      <c r="D3" s="50"/>
    </row>
    <row r="4" spans="1:5">
      <c r="A4" s="48"/>
      <c r="B4" s="48"/>
      <c r="C4" s="49"/>
      <c r="D4" s="50"/>
    </row>
    <row r="5" spans="1:5">
      <c r="A5" s="48"/>
      <c r="B5" s="48"/>
      <c r="C5" s="49"/>
      <c r="D5" s="50"/>
    </row>
    <row r="6" spans="1:5">
      <c r="A6" s="51"/>
      <c r="B6" s="48"/>
      <c r="C6" s="50"/>
      <c r="D6" s="50"/>
    </row>
    <row r="7" spans="1:5">
      <c r="A7" s="52"/>
      <c r="B7" s="48"/>
      <c r="C7" s="49"/>
      <c r="D7" s="50"/>
    </row>
    <row r="8" spans="1:5">
      <c r="A8" s="48"/>
      <c r="B8" s="48"/>
      <c r="C8" s="49"/>
      <c r="D8" s="50"/>
    </row>
    <row r="9" spans="1:5">
      <c r="A9" s="48"/>
      <c r="B9" s="53"/>
      <c r="C9" s="49"/>
      <c r="D9" s="50"/>
    </row>
    <row r="10" spans="1:5">
      <c r="A10" s="50"/>
      <c r="B10" s="50"/>
      <c r="C10" s="50"/>
      <c r="D10" s="5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DC106-ED03-465E-A51F-B55EE41044CA}">
  <dimension ref="A1:H21"/>
  <sheetViews>
    <sheetView tabSelected="1" workbookViewId="0">
      <selection activeCell="G19" sqref="G19"/>
    </sheetView>
  </sheetViews>
  <sheetFormatPr baseColWidth="10" defaultRowHeight="15"/>
  <sheetData>
    <row r="1" spans="1:8" ht="15.75" thickBot="1">
      <c r="B1" s="68" t="s">
        <v>63</v>
      </c>
      <c r="C1" s="68"/>
      <c r="D1" s="68"/>
    </row>
    <row r="2" spans="1:8">
      <c r="B2" s="21"/>
      <c r="C2" s="22" t="s">
        <v>64</v>
      </c>
      <c r="D2" s="23"/>
    </row>
    <row r="3" spans="1:8" ht="15.75" thickBot="1">
      <c r="B3" s="24"/>
      <c r="C3" s="25" t="s">
        <v>65</v>
      </c>
      <c r="D3" s="26"/>
      <c r="F3" s="68" t="s">
        <v>66</v>
      </c>
      <c r="G3" s="68"/>
      <c r="H3" s="68"/>
    </row>
    <row r="4" spans="1:8" ht="15.75" thickBot="1">
      <c r="B4" s="27"/>
      <c r="C4" s="28" t="s">
        <v>67</v>
      </c>
      <c r="D4" s="29"/>
      <c r="F4" s="21" t="s">
        <v>68</v>
      </c>
      <c r="G4" s="30" t="s">
        <v>69</v>
      </c>
      <c r="H4" s="23"/>
    </row>
    <row r="5" spans="1:8">
      <c r="C5" s="31"/>
      <c r="F5" s="32">
        <f>C9*C11*24*0.7/C13</f>
        <v>31124.980560973909</v>
      </c>
      <c r="G5" s="33">
        <f>C9*C11*24*0.7/C14</f>
        <v>49281.219221542022</v>
      </c>
      <c r="H5" s="26" t="s">
        <v>70</v>
      </c>
    </row>
    <row r="6" spans="1:8" ht="15.75" thickBot="1">
      <c r="B6" s="68" t="s">
        <v>71</v>
      </c>
      <c r="C6" s="68"/>
      <c r="D6" s="68"/>
      <c r="F6" s="34">
        <f>F5/1000</f>
        <v>31.12498056097391</v>
      </c>
      <c r="G6" s="35">
        <f>G5/1000</f>
        <v>49.281219221542024</v>
      </c>
      <c r="H6" s="29" t="s">
        <v>72</v>
      </c>
    </row>
    <row r="7" spans="1:8">
      <c r="B7" s="21" t="s">
        <v>73</v>
      </c>
      <c r="C7" s="36">
        <f>Uinitial!B93</f>
        <v>1.0885373685518764</v>
      </c>
      <c r="D7" s="23" t="s">
        <v>74</v>
      </c>
    </row>
    <row r="8" spans="1:8" ht="15.75" thickBot="1">
      <c r="B8" s="24" t="s">
        <v>75</v>
      </c>
      <c r="C8" s="54">
        <f>Ufinal!C2</f>
        <v>0.16219866138003391</v>
      </c>
      <c r="D8" s="26" t="s">
        <v>74</v>
      </c>
      <c r="F8" s="69" t="s">
        <v>76</v>
      </c>
      <c r="G8" s="69"/>
      <c r="H8" s="69"/>
    </row>
    <row r="9" spans="1:8" ht="15.75" thickBot="1">
      <c r="B9" s="24" t="s">
        <v>77</v>
      </c>
      <c r="C9" s="37">
        <f>ABS(C8-C7)</f>
        <v>0.92633870717184252</v>
      </c>
      <c r="D9" s="26" t="s">
        <v>74</v>
      </c>
      <c r="G9" s="21" t="s">
        <v>68</v>
      </c>
      <c r="H9" s="30" t="s">
        <v>69</v>
      </c>
    </row>
    <row r="10" spans="1:8">
      <c r="B10" s="24"/>
      <c r="D10" s="26"/>
      <c r="F10" s="21" t="s">
        <v>78</v>
      </c>
      <c r="G10" s="61">
        <f>F6*C17*C19</f>
        <v>615.72681544941042</v>
      </c>
      <c r="H10" s="62">
        <f>G6*C17*C19</f>
        <v>974.9007911282331</v>
      </c>
    </row>
    <row r="11" spans="1:8">
      <c r="A11" s="40"/>
      <c r="B11" s="24" t="s">
        <v>79</v>
      </c>
      <c r="C11">
        <v>1900</v>
      </c>
      <c r="D11" s="26" t="s">
        <v>80</v>
      </c>
      <c r="F11" s="24" t="s">
        <v>41</v>
      </c>
      <c r="G11" s="63">
        <f>F6*C17*C20</f>
        <v>503.77648536769937</v>
      </c>
      <c r="H11" s="64">
        <f>G6*C17*C20</f>
        <v>797.64610183219065</v>
      </c>
    </row>
    <row r="12" spans="1:8" ht="15.75" thickBot="1">
      <c r="B12" s="24"/>
      <c r="D12" s="26"/>
      <c r="F12" s="27" t="s">
        <v>42</v>
      </c>
      <c r="G12" s="65">
        <f>F6*C17*C21</f>
        <v>335.85099024513289</v>
      </c>
      <c r="H12" s="66">
        <f>G6*C17*C21</f>
        <v>531.7640678881271</v>
      </c>
    </row>
    <row r="13" spans="1:8">
      <c r="B13" s="24" t="s">
        <v>81</v>
      </c>
      <c r="C13" s="43">
        <v>0.95</v>
      </c>
      <c r="D13" s="26"/>
    </row>
    <row r="14" spans="1:8" ht="15.75" thickBot="1">
      <c r="B14" s="24" t="s">
        <v>82</v>
      </c>
      <c r="C14" s="43">
        <v>0.6</v>
      </c>
      <c r="D14" s="26"/>
      <c r="F14" s="69" t="s">
        <v>83</v>
      </c>
      <c r="G14" s="69"/>
      <c r="H14" s="69"/>
    </row>
    <row r="15" spans="1:8">
      <c r="B15" s="24"/>
      <c r="D15" s="26"/>
      <c r="F15" s="21" t="s">
        <v>78</v>
      </c>
      <c r="G15" s="38">
        <f>G10*0.31+H10*0.69</f>
        <v>863.556858667798</v>
      </c>
      <c r="H15" s="39">
        <f>ROUND(G15,-1)</f>
        <v>860</v>
      </c>
    </row>
    <row r="16" spans="1:8">
      <c r="B16" s="24" t="s">
        <v>84</v>
      </c>
      <c r="C16">
        <v>30</v>
      </c>
      <c r="D16" s="26" t="s">
        <v>85</v>
      </c>
      <c r="F16" s="24" t="s">
        <v>41</v>
      </c>
      <c r="G16" s="33">
        <f t="shared" ref="G16:G17" si="0">G11*0.31+H11*0.69</f>
        <v>706.54652072819829</v>
      </c>
      <c r="H16" s="41">
        <f>ROUND(G16,-1)</f>
        <v>710</v>
      </c>
    </row>
    <row r="17" spans="2:8" ht="15.75" thickBot="1">
      <c r="B17" s="24" t="s">
        <v>86</v>
      </c>
      <c r="C17">
        <v>17.984000000000002</v>
      </c>
      <c r="D17" s="26"/>
      <c r="F17" s="27" t="s">
        <v>42</v>
      </c>
      <c r="G17" s="35">
        <f t="shared" si="0"/>
        <v>471.0310138187989</v>
      </c>
      <c r="H17" s="42">
        <f>ROUND(G17,-1)</f>
        <v>470</v>
      </c>
    </row>
    <row r="18" spans="2:8">
      <c r="B18" s="24"/>
      <c r="D18" s="26"/>
    </row>
    <row r="19" spans="2:8">
      <c r="B19" s="24" t="s">
        <v>78</v>
      </c>
      <c r="C19">
        <v>1.1000000000000001</v>
      </c>
      <c r="D19" s="26"/>
    </row>
    <row r="20" spans="2:8">
      <c r="B20" s="24" t="s">
        <v>41</v>
      </c>
      <c r="C20">
        <v>0.9</v>
      </c>
      <c r="D20" s="26"/>
    </row>
    <row r="21" spans="2:8" ht="15.75" thickBot="1">
      <c r="B21" s="27" t="s">
        <v>42</v>
      </c>
      <c r="C21" s="44">
        <v>0.6</v>
      </c>
      <c r="D21" s="29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8 E A A B Q S w M E F A A C A A g A h n s F U 2 4 m x n S l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Y q t U k Z J S Y G V v n 5 5 e b l e u b F e f l G 6 v p G B g a F + h K 9 P c H J G a m 6 i E l x x J m H F u p l 5 x S W J e c m p S n Y 2 Y R D H 2 B n p W Z r q m Z k A n W S j D x O z 8 c 3 M Q 8 g b A e V A s k i C N s 6 l O S W l R a l 2 a U W 6 b k E 2 + j C u j T 7 U C 3 Y A U E s D B B Q A A g A I A I Z 7 B V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G e w V T 2 M s u N p g B A A C D B A A A E w A c A E Z v c m 1 1 b G F z L 1 N l Y 3 R p b 2 4 x L m 0 g o h g A K K A U A A A A A A A A A A A A A A A A A A A A A A A A A A A A 5 Z L N a h s x E M f v B r / D o F z W I C 9 e N x + Q s o d 0 r T a 9 u K m 9 v S R b w m Z 3 3 K j o Y 5 F G I c H 4 g d L X 8 I t V G x c S S P p B b 6 W 6 S B r m P / r N 6 O + x I W k N L H d 7 9 n o 4 G A 7 8 d e 2 w h T 1 W W k n B I R A 6 V 3 u P k D H I Q S E N B x D X 0 g b X Y I w U / i a d 2 S Z o N J S 8 l Q r T w h q K F 5 + w 8 + M q G 5 8 5 + x X J A x p o o s j D Q s w / V N N s k R 0 d X A o K L U I h B I x h 9 k 4 U 1 a s U o q A N D 0 j V f g p l f Q U x p a l V E 1 Q l b j v r C F p r z P Y e P c z O R P X m Z A H l K W S T r H o O n T b + h o 3 4 x Q y V 1 D L G c 8 Y Z h 8 K q o I 3 P p x y E a W w r z Z f 8 8 G A y y T h 8 D J Z w S X c K 8 8 d j O r c G P 4 / 4 r v k 9 J s y Y t t 8 o E n T O 6 u D 7 2 U T S m B j p d V S d Y t 2 i 8 8 l u T h w u f s R P l F r G X m r n c 3 L h a c n y r k P Q E W U l t / e P 9 U p X G 7 + y T u + Q + y y f v A D A 1 2 v 2 q b u G l T S 1 g q S x u q s d y f 5 b / C h 2 T H 1 5 w l v a c F i z u d V X c U 5 x s L / S v D d 0 u J / 2 T 2 4 2 o + F A m p d Z f 2 O c 6 b 9 o n O n / Z p z L v z D O T z V / a p z v U E s B A i 0 A F A A C A A g A h n s F U 2 4 m x n S l A A A A 9 Q A A A B I A A A A A A A A A A A A A A A A A A A A A A E N v b m Z p Z y 9 Q Y W N r Y W d l L n h t b F B L A Q I t A B Q A A g A I A I Z 7 B V M P y u m r p A A A A O k A A A A T A A A A A A A A A A A A A A A A A P E A A A B b Q 2 9 u d G V u d F 9 U e X B l c 1 0 u e G 1 s U E s B A i 0 A F A A C A A g A h n s F U 9 j L L j a Y A Q A A g w Q A A B M A A A A A A A A A A A A A A A A A 4 g E A A E Z v c m 1 1 b G F z L 1 N l Y 3 R p b 2 4 x L m 1 Q S w U G A A A A A A M A A w D C A A A A x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x E A A A A A A A C p E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v a X R 1 c m U l M j B 0 Z X J y Y X N z Z S U y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O C 0 w N V Q x M z o y M D o x N S 4 0 N j k z N T E x W i I g L z 4 8 R W 5 0 c n k g V H l w Z T 0 i R m l s b E N v b H V t b l R 5 c G V z I i B W Y W x 1 Z T 0 i c 0 J n T T 0 i I C 8 + P E V u d H J 5 I F R 5 c G U 9 I k Z p b G x D b 2 x 1 b W 5 O Y W 1 l c y I g V m F s d W U 9 I n N b J n F 1 b 3 Q 7 V X B o I G Z p b m F s I C h j b 2 1 w Y X J 0 a W 1 l b n R z K S Z x d W 9 0 O y w m c X V v d D t O b 2 1 i c m U g Z G U g V X B o I G Z p b m F s I C h j b 2 1 w Y X J 0 a W 1 l b n R z K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v a X R 1 c m U g d G V y c m F z c 2 U g M S 9 U e X B l I G 1 v Z G l m a c O p L n t V c G g g Z m l u Y W w g K G N v b X B h c n R p b W V u d H M p L D B 9 J n F 1 b 3 Q 7 L C Z x d W 9 0 O 1 N l Y 3 R p b 2 4 x L 1 R v a X R 1 c m U g d G V y c m F z c 2 U g M S 9 U e X B l I G 1 v Z G l m a c O p L n t O b 2 1 i c m U g Z G U g V X B o I G Z p b m F s I C h j b 2 1 w Y X J 0 a W 1 l b n R z K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U b 2 l 0 d X J l I H R l c n J h c 3 N l I D E v V H l w Z S B t b 2 R p Z m n D q S 5 7 V X B o I G Z p b m F s I C h j b 2 1 w Y X J 0 a W 1 l b n R z K S w w f S Z x d W 9 0 O y w m c X V v d D t T Z W N 0 a W 9 u M S 9 U b 2 l 0 d X J l I H R l c n J h c 3 N l I D E v V H l w Z S B t b 2 R p Z m n D q S 5 7 T m 9 t Y n J l I G R l I F V w a C B m a W 5 h b C A o Y 2 9 t c G F y d G l t Z W 5 0 c y k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v a X R 1 c m U l M j B 0 Z X J y Y X N z Z S U y M D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9 p d H V y Z S U y M H R l c n J h c 3 N l J T I w M S 9 F b i 1 0 J U M z J U F B d G V z J T I w c H J v b X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9 p d H V y Z S U y M H R l c n J h c 3 N l J T I w M S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9 p d H V y Z S U y M H R l c n J h c 3 N l J T I w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4 L T A 1 V D E z O j I w O j Q 2 L j c z M T k y M j l a I i A v P j x F b n R y e S B U e X B l P S J G a W x s Q 2 9 s d W 1 u V H l w Z X M i I F Z h b H V l P S J z Q m d N P S I g L z 4 8 R W 5 0 c n k g V H l w Z T 0 i R m l s b E N v b H V t b k 5 h b W V z I i B W Y W x 1 Z T 0 i c 1 s m c X V v d D t V c G h f Z m l u Y W w g K G N v b X B h c n R p b W V u d H M p J n F 1 b 3 Q 7 L C Z x d W 9 0 O 0 5 v b W J y Z S B k Z S B V c G h f Z m l u Y W w g K G N v b X B h c n R p b W V u d H M p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9 p d H V y Z S B 0 Z X J y Y X N z Z S A y L 1 R 5 c G U g b W 9 k a W Z p w 6 k u e 1 V w a F 9 m a W 5 h b C A o Y 2 9 t c G F y d G l t Z W 5 0 c y k s M H 0 m c X V v d D s s J n F 1 b 3 Q 7 U 2 V j d G l v b j E v V G 9 p d H V y Z S B 0 Z X J y Y X N z Z S A y L 1 R 5 c G U g b W 9 k a W Z p w 6 k u e 0 5 v b W J y Z S B k Z S B V c G h f Z m l u Y W w g K G N v b X B h c n R p b W V u d H M p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R v a X R 1 c m U g d G V y c m F z c 2 U g M i 9 U e X B l I G 1 v Z G l m a c O p L n t V c G h f Z m l u Y W w g K G N v b X B h c n R p b W V u d H M p L D B 9 J n F 1 b 3 Q 7 L C Z x d W 9 0 O 1 N l Y 3 R p b 2 4 x L 1 R v a X R 1 c m U g d G V y c m F z c 2 U g M i 9 U e X B l I G 1 v Z G l m a c O p L n t O b 2 1 i c m U g Z G U g V X B o X 2 Z p b m F s I C h j b 2 1 w Y X J 0 a W 1 l b n R z K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9 p d H V y Z S U y M H R l c n J h c 3 N l J T I w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b 2 l 0 d X J l J T I w d G V y c m F z c 2 U l M j A y L 0 V u L X Q l Q z M l Q U F 0 Z X M l M j B w c m 9 t d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b 2 l 0 d X J l J T I w d G V y c m F z c 2 U l M j A y L 1 R 5 c G U l M j B t b 2 R p Z m k l Q z M l Q T k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d g 4 5 s q k z K k K f A 6 r T G p 9 K g A A A A A A C A A A A A A A D Z g A A w A A A A B A A A A C y v B d Y Z C A z C 3 M W l 4 n 7 J C c S A A A A A A S A A A C g A A A A E A A A A H q v 6 A g M n I H 0 i l W 6 N P n y D J t Q A A A A H H L z 2 8 f n L 4 s I m y x g d b j / Z + d q P M S C 2 z 8 z X 6 n O 1 D o f F r x y n K R c q A 5 m 3 7 g + w + y e m K 9 V r 2 3 j n k 9 n e T O m j i m X p 4 R 3 T g G I q C e Q d u R b 7 d t B B F p V Z b 8 U A A A A G k j + M L Y W g J t n E A J 0 + j / V S 5 M 8 H V Q = < / D a t a M a s h u p > 
</file>

<file path=customXml/itemProps1.xml><?xml version="1.0" encoding="utf-8"?>
<ds:datastoreItem xmlns:ds="http://schemas.openxmlformats.org/officeDocument/2006/customXml" ds:itemID="{0A87725E-2E8A-4CD0-BAAC-495EA6F6370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Uinitial</vt:lpstr>
      <vt:lpstr>Ufinal</vt:lpstr>
      <vt:lpstr>Montant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ALLOUCHE</dc:creator>
  <cp:lastModifiedBy>Julien PARC</cp:lastModifiedBy>
  <dcterms:created xsi:type="dcterms:W3CDTF">2021-07-07T10:18:03Z</dcterms:created>
  <dcterms:modified xsi:type="dcterms:W3CDTF">2021-09-01T07:51:51Z</dcterms:modified>
</cp:coreProperties>
</file>